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FO\Projects\CPUC Rainbow\10 MEA\5.0 Appendices\B_Description of Potential Alternatives\"/>
    </mc:Choice>
  </mc:AlternateContent>
  <bookViews>
    <workbookView xWindow="0" yWindow="0" windowWidth="25200" windowHeight="11850"/>
  </bookViews>
  <sheets>
    <sheet name="Sheet1" sheetId="1" r:id="rId1"/>
  </sheets>
  <definedNames>
    <definedName name="_xlnm.Print_Area" localSheetId="0">Sheet1!$A$1:$R$57</definedName>
  </definedNames>
  <calcPr calcId="162913"/>
</workbook>
</file>

<file path=xl/calcChain.xml><?xml version="1.0" encoding="utf-8"?>
<calcChain xmlns="http://schemas.openxmlformats.org/spreadsheetml/2006/main">
  <c r="B27" i="1" l="1"/>
  <c r="C27" i="1" s="1"/>
  <c r="D27" i="1" s="1"/>
  <c r="E27" i="1" s="1"/>
  <c r="F27" i="1" s="1"/>
  <c r="G27" i="1" s="1"/>
  <c r="H27" i="1" l="1"/>
  <c r="M27" i="1"/>
  <c r="N27" i="1" s="1"/>
  <c r="I27" i="1"/>
  <c r="D29" i="1"/>
  <c r="E29" i="1" s="1"/>
  <c r="F29" i="1" s="1"/>
  <c r="G29" i="1" s="1"/>
  <c r="D31" i="1"/>
  <c r="E31" i="1" s="1"/>
  <c r="F31" i="1" s="1"/>
  <c r="G31" i="1" s="1"/>
  <c r="O27" i="1" l="1"/>
  <c r="I29" i="1"/>
  <c r="O29" i="1" s="1"/>
  <c r="H29" i="1"/>
  <c r="M29" i="1"/>
  <c r="N29" i="1" s="1"/>
  <c r="M31" i="1"/>
  <c r="N31" i="1" s="1"/>
  <c r="I31" i="1"/>
  <c r="H31" i="1"/>
  <c r="I49" i="1"/>
  <c r="I52" i="1" s="1"/>
  <c r="I48" i="1"/>
  <c r="I51" i="1" s="1"/>
  <c r="O31" i="1" l="1"/>
  <c r="I53" i="1"/>
  <c r="J29" i="1" l="1"/>
  <c r="K29" i="1" s="1"/>
  <c r="L29" i="1" s="1"/>
  <c r="P29" i="1" s="1"/>
  <c r="J27" i="1"/>
  <c r="K27" i="1" s="1"/>
  <c r="L27" i="1" s="1"/>
  <c r="P27" i="1" s="1"/>
  <c r="J31" i="1"/>
  <c r="K31" i="1" s="1"/>
  <c r="L31" i="1" s="1"/>
  <c r="P31" i="1" s="1"/>
  <c r="B17" i="1"/>
  <c r="C17" i="1" s="1"/>
  <c r="D17" i="1" s="1"/>
  <c r="E17" i="1" s="1"/>
  <c r="F17" i="1" s="1"/>
  <c r="G17" i="1" s="1"/>
  <c r="C16" i="1"/>
  <c r="I17" i="1" l="1"/>
  <c r="J17" i="1" s="1"/>
  <c r="M17" i="1"/>
  <c r="N17" i="1" s="1"/>
  <c r="H17" i="1"/>
  <c r="B18" i="1"/>
  <c r="B19" i="1" s="1"/>
  <c r="B20" i="1" s="1"/>
  <c r="B21" i="1" l="1"/>
  <c r="B22" i="1" s="1"/>
  <c r="B23" i="1" s="1"/>
  <c r="B24" i="1" s="1"/>
  <c r="B25" i="1" s="1"/>
  <c r="C20" i="1"/>
  <c r="D20" i="1" s="1"/>
  <c r="E20" i="1" s="1"/>
  <c r="F20" i="1" s="1"/>
  <c r="G20" i="1" s="1"/>
  <c r="I20" i="1" s="1"/>
  <c r="K17" i="1"/>
  <c r="L17" i="1" s="1"/>
  <c r="P17" i="1" s="1"/>
  <c r="O17" i="1"/>
  <c r="C18" i="1"/>
  <c r="D18" i="1" s="1"/>
  <c r="E18" i="1" s="1"/>
  <c r="F18" i="1" s="1"/>
  <c r="G18" i="1" s="1"/>
  <c r="C25" i="1"/>
  <c r="D25" i="1" s="1"/>
  <c r="E25" i="1" s="1"/>
  <c r="F25" i="1" s="1"/>
  <c r="G25" i="1" s="1"/>
  <c r="C23" i="1"/>
  <c r="D23" i="1" s="1"/>
  <c r="E23" i="1" s="1"/>
  <c r="F23" i="1" s="1"/>
  <c r="G23" i="1" s="1"/>
  <c r="C21" i="1"/>
  <c r="D21" i="1" s="1"/>
  <c r="E21" i="1" s="1"/>
  <c r="F21" i="1" s="1"/>
  <c r="G21" i="1" s="1"/>
  <c r="C19" i="1"/>
  <c r="D19" i="1" s="1"/>
  <c r="E19" i="1" s="1"/>
  <c r="F19" i="1" s="1"/>
  <c r="G19" i="1" s="1"/>
  <c r="C22" i="1"/>
  <c r="D22" i="1" s="1"/>
  <c r="E22" i="1" s="1"/>
  <c r="F22" i="1" s="1"/>
  <c r="G22" i="1" s="1"/>
  <c r="C24" i="1"/>
  <c r="D24" i="1" s="1"/>
  <c r="E24" i="1" s="1"/>
  <c r="F24" i="1" s="1"/>
  <c r="G24" i="1" s="1"/>
  <c r="O20" i="1" l="1"/>
  <c r="J20" i="1"/>
  <c r="K20" i="1" s="1"/>
  <c r="L20" i="1" s="1"/>
  <c r="P20" i="1" s="1"/>
  <c r="H22" i="1"/>
  <c r="M22" i="1"/>
  <c r="N22" i="1" s="1"/>
  <c r="H25" i="1"/>
  <c r="M25" i="1"/>
  <c r="N25" i="1" s="1"/>
  <c r="I19" i="1"/>
  <c r="M19" i="1"/>
  <c r="N19" i="1" s="1"/>
  <c r="H20" i="1"/>
  <c r="M20" i="1"/>
  <c r="N20" i="1" s="1"/>
  <c r="H21" i="1"/>
  <c r="M21" i="1"/>
  <c r="N21" i="1" s="1"/>
  <c r="H18" i="1"/>
  <c r="M18" i="1"/>
  <c r="N18" i="1" s="1"/>
  <c r="H24" i="1"/>
  <c r="M24" i="1"/>
  <c r="N24" i="1" s="1"/>
  <c r="I23" i="1"/>
  <c r="M23" i="1"/>
  <c r="N23" i="1" s="1"/>
  <c r="I22" i="1"/>
  <c r="I21" i="1"/>
  <c r="I18" i="1"/>
  <c r="H23" i="1"/>
  <c r="I24" i="1"/>
  <c r="I25" i="1"/>
  <c r="H19" i="1"/>
  <c r="O24" i="1" l="1"/>
  <c r="J24" i="1"/>
  <c r="K24" i="1" s="1"/>
  <c r="L24" i="1" s="1"/>
  <c r="P24" i="1" s="1"/>
  <c r="O22" i="1"/>
  <c r="J22" i="1"/>
  <c r="K22" i="1" s="1"/>
  <c r="L22" i="1" s="1"/>
  <c r="P22" i="1" s="1"/>
  <c r="O23" i="1"/>
  <c r="J23" i="1"/>
  <c r="K23" i="1" s="1"/>
  <c r="L23" i="1" s="1"/>
  <c r="P23" i="1" s="1"/>
  <c r="O18" i="1"/>
  <c r="J18" i="1"/>
  <c r="K18" i="1" s="1"/>
  <c r="L18" i="1" s="1"/>
  <c r="P18" i="1" s="1"/>
  <c r="O19" i="1"/>
  <c r="J19" i="1"/>
  <c r="K19" i="1" s="1"/>
  <c r="L19" i="1" s="1"/>
  <c r="P19" i="1" s="1"/>
  <c r="O25" i="1"/>
  <c r="J25" i="1"/>
  <c r="K25" i="1" s="1"/>
  <c r="L25" i="1" s="1"/>
  <c r="P25" i="1" s="1"/>
  <c r="O21" i="1"/>
  <c r="J21" i="1"/>
  <c r="K21" i="1" s="1"/>
  <c r="L21" i="1" s="1"/>
  <c r="P21" i="1" s="1"/>
  <c r="P7" i="1"/>
  <c r="M7" i="1" l="1"/>
  <c r="J7" i="1"/>
  <c r="D7" i="1"/>
  <c r="G7" i="1"/>
</calcChain>
</file>

<file path=xl/sharedStrings.xml><?xml version="1.0" encoding="utf-8"?>
<sst xmlns="http://schemas.openxmlformats.org/spreadsheetml/2006/main" count="124" uniqueCount="95">
  <si>
    <t>Operated As</t>
  </si>
  <si>
    <t>Line</t>
  </si>
  <si>
    <t xml:space="preserve"> </t>
  </si>
  <si>
    <t>Standalone</t>
  </si>
  <si>
    <t>Capacity MMCFD)</t>
  </si>
  <si>
    <t>Pressure (psig)</t>
  </si>
  <si>
    <t>Standalone Total</t>
  </si>
  <si>
    <t>System</t>
  </si>
  <si>
    <t>System Total</t>
  </si>
  <si>
    <t>3010+1600</t>
  </si>
  <si>
    <t>640 &amp; 512</t>
  </si>
  <si>
    <t>640 &amp; 320</t>
  </si>
  <si>
    <t>Remark:</t>
  </si>
  <si>
    <t>1.  L3010 operating at 640 psig and L1600 operating at 320 psig and both operating as a system provide a system capacity of 570 MMCFD</t>
  </si>
  <si>
    <t>MWh            for 24 hours</t>
  </si>
  <si>
    <t>MWh for 8hrs</t>
  </si>
  <si>
    <t xml:space="preserve">Energy rate (MW) required </t>
  </si>
  <si>
    <t>Approx Acres</t>
  </si>
  <si>
    <t>MMCFD Required</t>
  </si>
  <si>
    <t>Addl MMCFD required</t>
  </si>
  <si>
    <t># of Tesla 50KW/ 210KWH pack reqd.</t>
  </si>
  <si>
    <t>Additional MMBtuD required</t>
  </si>
  <si>
    <t>Base MMCFD Available</t>
  </si>
  <si>
    <t>NA</t>
  </si>
  <si>
    <t>Btu/cf =</t>
  </si>
  <si>
    <t>MWh</t>
  </si>
  <si>
    <t>1 acre =</t>
  </si>
  <si>
    <t>Sq. Ft</t>
  </si>
  <si>
    <t>1MMBtu =</t>
  </si>
  <si>
    <t>TESLA SPEC:</t>
  </si>
  <si>
    <t>Overall System Specs</t>
  </si>
  <si>
    <t>AC Voltage380 to 480V, 3 phases</t>
  </si>
  <si>
    <t>Energy Capacity210 kWh (AC) per Powerpack</t>
  </si>
  <si>
    <t>CommunicationsModbus TCP/IP; DNP3</t>
  </si>
  <si>
    <t>Operating Temperature-22°F to 122°F / -30°C to 50°C</t>
  </si>
  <si>
    <t>Power50kW (AC) per Powerpack</t>
  </si>
  <si>
    <t>EnclosuresPods: IP67</t>
  </si>
  <si>
    <t>Powerpack: IP35/NEMA 3R</t>
  </si>
  <si>
    <t>Inverter: IP66/NEMA 4</t>
  </si>
  <si>
    <t>Scalable Inverter Powerfrom 50kVA to 625kVA (at 480V)</t>
  </si>
  <si>
    <t>System Efficiency (AC) *88% round-trip (2 hour system)</t>
  </si>
  <si>
    <t>89% round-trip (4 hour system)</t>
  </si>
  <si>
    <t>Depth of Discharge100%</t>
  </si>
  <si>
    <t>CertificationsNationally accredited certifications to</t>
  </si>
  <si>
    <t>international safety, EMC, utility and env. legislation.</t>
  </si>
  <si>
    <t>Powerpack</t>
  </si>
  <si>
    <t>Length: 1,308 mm (51.5")</t>
  </si>
  <si>
    <t>Width: 822 mm (32.4")</t>
  </si>
  <si>
    <t>Height: 2,185 mm (86")</t>
  </si>
  <si>
    <t>Weight: 1622 kg (3575 lbs)</t>
  </si>
  <si>
    <t>Industrial Inverter</t>
  </si>
  <si>
    <t>Length: 1,014 mm (39.9")</t>
  </si>
  <si>
    <t>Width: 1254 mm (49.4")</t>
  </si>
  <si>
    <t>Height: 2192 mm (86.3")</t>
  </si>
  <si>
    <t>Weight: 1200 kg (2650 lbs)</t>
  </si>
  <si>
    <t>* Net Energy delivered at 25°C (77°F) ambient temperature including thermal control</t>
  </si>
  <si>
    <t>Battery storage requirement:</t>
  </si>
  <si>
    <t>Longest L=</t>
  </si>
  <si>
    <t>W1+W2 =</t>
  </si>
  <si>
    <t>ft</t>
  </si>
  <si>
    <t>sq. ft</t>
  </si>
  <si>
    <t>Total L =</t>
  </si>
  <si>
    <t>Total W =</t>
  </si>
  <si>
    <t>Area/pack</t>
  </si>
  <si>
    <t>Estimated Area per Tesla pack</t>
  </si>
  <si>
    <t xml:space="preserve">  + 1.5' all around to give 3' between packs</t>
  </si>
  <si>
    <t>Total Sq Ft w/ 25% extra for Rd /Bldgs/park</t>
  </si>
  <si>
    <t>2.  L3010 operating as a standalone pipeline without L1600 also has a capacity of 570 MMCFD</t>
  </si>
  <si>
    <t>GENERAL REMARK:</t>
  </si>
  <si>
    <t>Pg. 13, R.15-03-011, Table 1: SDG&amp;E Energy Storage procurement target = 165 MW</t>
  </si>
  <si>
    <r>
      <t xml:space="preserve">Pg. 26, R.15-03-011, Table 6:SDG&amp;E Long Term energy storage obligation = </t>
    </r>
    <r>
      <rPr>
        <b/>
        <sz val="11"/>
        <color theme="1"/>
        <rFont val="Calibri"/>
        <family val="2"/>
        <scheme val="minor"/>
      </rPr>
      <t>331 MW</t>
    </r>
  </si>
  <si>
    <r>
      <t xml:space="preserve">Pg. 2, SDG&amp;E Long-Term Gas demand forecast, 1-in-10 yr cold day: </t>
    </r>
    <r>
      <rPr>
        <b/>
        <sz val="11"/>
        <color theme="1"/>
        <rFont val="Calibri"/>
        <family val="2"/>
        <scheme val="minor"/>
      </rPr>
      <t>2018/19 = 589 MMCFD, 2022/23 = 572 MMCFD</t>
    </r>
  </si>
  <si>
    <r>
      <t xml:space="preserve">Pg. 17, R.15-03-011, Table 2: SDG&amp;E Energy Storage procurement t date = 96.65 MW, </t>
    </r>
    <r>
      <rPr>
        <b/>
        <sz val="11"/>
        <color theme="1"/>
        <rFont val="Calibri"/>
        <family val="2"/>
        <scheme val="minor"/>
      </rPr>
      <t>remaining obligation = 68.35 MW</t>
    </r>
  </si>
  <si>
    <t>Conversion Factors used</t>
  </si>
  <si>
    <t>Sq Ft Reqd  (per Pack approx.     72 sq ft)</t>
  </si>
  <si>
    <t>NOTE:  MWh needed, number of Tesla pack required, and  space required for 4-hr service will be half of what is required for 8-hr service, MW will remain same</t>
  </si>
  <si>
    <r>
      <t xml:space="preserve">MWh need for </t>
    </r>
    <r>
      <rPr>
        <b/>
        <sz val="11"/>
        <color theme="1"/>
        <rFont val="Calibri"/>
        <family val="2"/>
        <scheme val="minor"/>
      </rPr>
      <t>8-Hr</t>
    </r>
    <r>
      <rPr>
        <sz val="11"/>
        <color theme="1"/>
        <rFont val="Calibri"/>
        <family val="2"/>
        <scheme val="minor"/>
      </rPr>
      <t xml:space="preserve">  (w/ Turbine Gen eff. 0.6)</t>
    </r>
  </si>
  <si>
    <r>
      <t>MWh need for 4</t>
    </r>
    <r>
      <rPr>
        <b/>
        <sz val="11"/>
        <color theme="1"/>
        <rFont val="Calibri"/>
        <family val="2"/>
        <scheme val="minor"/>
      </rPr>
      <t>-Hr</t>
    </r>
    <r>
      <rPr>
        <sz val="11"/>
        <color theme="1"/>
        <rFont val="Calibri"/>
        <family val="2"/>
        <scheme val="minor"/>
      </rPr>
      <t xml:space="preserve">  (w/ Turbine Gen eff. 0.6)</t>
    </r>
  </si>
  <si>
    <t>4-HOUR SERVICE NEEDS</t>
  </si>
  <si>
    <t>8-HOUR SERVICE NEEDS</t>
  </si>
  <si>
    <t>Dimensions and Foot Print per Tesla Pack</t>
  </si>
  <si>
    <t>NOTE: 44.5 MMCFD is the reduction in flow when L1600 operated as a standalone pipeline and L1600 pressure is reduced from 512 psig to 320 psig.</t>
  </si>
  <si>
    <t>NOTE: 25 MMCFD is the SDG&amp;E System wide reduction in flow when L1600 pressure is reduced from 512 psig to 320 psig.</t>
  </si>
  <si>
    <t>25MMCFD Case ==&gt;&gt;</t>
  </si>
  <si>
    <t>44.5MMCFD Case ==&gt;&gt;</t>
  </si>
  <si>
    <t>Scenario 2</t>
  </si>
  <si>
    <t>Scenario 4</t>
  </si>
  <si>
    <t>Scenario 1</t>
  </si>
  <si>
    <t>Scenario 3</t>
  </si>
  <si>
    <t>Notes</t>
  </si>
  <si>
    <t>Non-Pipeline Alternatives - Lithium Ion Battery Storage Scenarios</t>
  </si>
  <si>
    <t>The energy storage market continues to change rapidly. For this analysis, publicly available Tesla battery specifications were applied, but many other lithium-ion battery products could also have been used.</t>
  </si>
  <si>
    <t># of 50KW/ 210KWH pack reqd.</t>
  </si>
  <si>
    <r>
      <rPr>
        <b/>
        <sz val="11"/>
        <color theme="1"/>
        <rFont val="Calibri"/>
        <family val="2"/>
        <scheme val="minor"/>
      </rPr>
      <t>References</t>
    </r>
    <r>
      <rPr>
        <sz val="11"/>
        <color theme="1"/>
        <rFont val="Calibri"/>
        <family val="2"/>
        <scheme val="minor"/>
      </rPr>
      <t>: (1) A.15-09-013, SDGE -12, Supplemental Testimony of SDGE and SoCal Gas  (2)  ED_DR_04</t>
    </r>
  </si>
  <si>
    <t xml:space="preserve">System Capacity Analysis: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</si>
</sst>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0" xfId="0" applyFont="1" applyFill="1" applyBorder="1" applyAlignment="1">
      <alignment horizontal="center" wrapText="1"/>
    </xf>
    <xf numFmtId="0" fontId="1" fillId="0" borderId="0" xfId="0" applyFont="1"/>
    <xf numFmtId="0" fontId="0" fillId="0" borderId="0" xfId="0" applyFill="1" applyBorder="1"/>
    <xf numFmtId="0" fontId="0" fillId="0" borderId="0" xfId="0" applyBorder="1"/>
    <xf numFmtId="1" fontId="0" fillId="0" borderId="0" xfId="0" applyNumberFormat="1" applyBorder="1"/>
    <xf numFmtId="2" fontId="0" fillId="0" borderId="0" xfId="0" applyNumberFormat="1" applyBorder="1"/>
    <xf numFmtId="0" fontId="1" fillId="0" borderId="0" xfId="0" applyFont="1" applyBorder="1"/>
    <xf numFmtId="0" fontId="1" fillId="0" borderId="1" xfId="0" applyFont="1" applyBorder="1"/>
    <xf numFmtId="0" fontId="0" fillId="0" borderId="2" xfId="0" applyBorder="1"/>
    <xf numFmtId="0" fontId="0" fillId="0" borderId="29" xfId="0" applyBorder="1"/>
    <xf numFmtId="0" fontId="0" fillId="0" borderId="30" xfId="0" applyBorder="1"/>
    <xf numFmtId="0" fontId="1" fillId="0" borderId="29" xfId="0" applyFont="1" applyBorder="1"/>
    <xf numFmtId="0" fontId="0" fillId="0" borderId="3" xfId="0" applyBorder="1"/>
    <xf numFmtId="0" fontId="0" fillId="0" borderId="31" xfId="0" applyBorder="1"/>
    <xf numFmtId="0" fontId="0" fillId="0" borderId="32" xfId="0" applyBorder="1"/>
    <xf numFmtId="0" fontId="0" fillId="0" borderId="2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3" xfId="0" applyBorder="1"/>
    <xf numFmtId="0" fontId="0" fillId="0" borderId="29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30" xfId="0" applyFont="1" applyBorder="1"/>
    <xf numFmtId="0" fontId="0" fillId="0" borderId="3" xfId="0" applyFont="1" applyBorder="1" applyAlignment="1">
      <alignment horizontal="right"/>
    </xf>
    <xf numFmtId="0" fontId="0" fillId="0" borderId="33" xfId="0" applyFont="1" applyBorder="1" applyAlignment="1">
      <alignment horizontal="center"/>
    </xf>
    <xf numFmtId="0" fontId="0" fillId="0" borderId="31" xfId="0" applyFont="1" applyBorder="1"/>
    <xf numFmtId="164" fontId="1" fillId="0" borderId="0" xfId="0" applyNumberFormat="1" applyFont="1" applyBorder="1"/>
    <xf numFmtId="0" fontId="1" fillId="0" borderId="0" xfId="0" applyFont="1" applyFill="1"/>
    <xf numFmtId="0" fontId="0" fillId="0" borderId="0" xfId="0" applyFill="1"/>
    <xf numFmtId="0" fontId="0" fillId="0" borderId="1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0" fontId="0" fillId="0" borderId="0" xfId="0" applyFont="1"/>
    <xf numFmtId="1" fontId="0" fillId="0" borderId="37" xfId="0" applyNumberFormat="1" applyFont="1" applyBorder="1" applyAlignment="1">
      <alignment horizontal="center"/>
    </xf>
    <xf numFmtId="0" fontId="3" fillId="0" borderId="0" xfId="0" applyFont="1"/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15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20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64" fontId="3" fillId="0" borderId="28" xfId="0" applyNumberFormat="1" applyFont="1" applyFill="1" applyBorder="1" applyAlignment="1">
      <alignment horizontal="center"/>
    </xf>
    <xf numFmtId="1" fontId="2" fillId="0" borderId="28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2" fontId="0" fillId="0" borderId="0" xfId="0" applyNumberFormat="1" applyFill="1" applyBorder="1"/>
    <xf numFmtId="1" fontId="0" fillId="0" borderId="37" xfId="0" applyNumberFormat="1" applyFont="1" applyFill="1" applyBorder="1" applyAlignment="1">
      <alignment horizontal="center"/>
    </xf>
    <xf numFmtId="164" fontId="0" fillId="0" borderId="38" xfId="0" applyNumberFormat="1" applyFont="1" applyFill="1" applyBorder="1" applyAlignment="1">
      <alignment horizontal="center"/>
    </xf>
    <xf numFmtId="1" fontId="0" fillId="0" borderId="39" xfId="0" applyNumberFormat="1" applyFont="1" applyFill="1" applyBorder="1" applyAlignment="1">
      <alignment horizontal="center"/>
    </xf>
    <xf numFmtId="164" fontId="0" fillId="0" borderId="40" xfId="0" applyNumberFormat="1" applyFont="1" applyFill="1" applyBorder="1" applyAlignment="1">
      <alignment horizontal="center"/>
    </xf>
    <xf numFmtId="164" fontId="3" fillId="0" borderId="36" xfId="0" applyNumberFormat="1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1" fontId="3" fillId="0" borderId="37" xfId="0" applyNumberFormat="1" applyFont="1" applyFill="1" applyBorder="1" applyAlignment="1">
      <alignment horizontal="center"/>
    </xf>
    <xf numFmtId="1" fontId="2" fillId="0" borderId="37" xfId="0" applyNumberFormat="1" applyFont="1" applyFill="1" applyBorder="1" applyAlignment="1">
      <alignment horizontal="center"/>
    </xf>
    <xf numFmtId="164" fontId="3" fillId="0" borderId="38" xfId="0" applyNumberFormat="1" applyFont="1" applyFill="1" applyBorder="1" applyAlignment="1">
      <alignment horizontal="center"/>
    </xf>
    <xf numFmtId="1" fontId="3" fillId="0" borderId="39" xfId="0" applyNumberFormat="1" applyFont="1" applyFill="1" applyBorder="1" applyAlignment="1">
      <alignment horizontal="center"/>
    </xf>
    <xf numFmtId="164" fontId="3" fillId="0" borderId="40" xfId="0" applyNumberFormat="1" applyFont="1" applyFill="1" applyBorder="1" applyAlignment="1">
      <alignment horizontal="center"/>
    </xf>
    <xf numFmtId="0" fontId="0" fillId="0" borderId="36" xfId="0" applyFont="1" applyBorder="1" applyAlignment="1">
      <alignment horizontal="left"/>
    </xf>
    <xf numFmtId="164" fontId="3" fillId="0" borderId="36" xfId="0" applyNumberFormat="1" applyFont="1" applyBorder="1" applyAlignment="1">
      <alignment horizontal="left"/>
    </xf>
    <xf numFmtId="164" fontId="3" fillId="0" borderId="8" xfId="0" applyNumberFormat="1" applyFont="1" applyBorder="1" applyAlignment="1">
      <alignment horizontal="left"/>
    </xf>
    <xf numFmtId="164" fontId="3" fillId="0" borderId="26" xfId="0" applyNumberFormat="1" applyFont="1" applyBorder="1" applyAlignment="1">
      <alignment horizontal="left"/>
    </xf>
    <xf numFmtId="164" fontId="3" fillId="0" borderId="42" xfId="0" applyNumberFormat="1" applyFont="1" applyBorder="1" applyAlignment="1">
      <alignment horizontal="left"/>
    </xf>
    <xf numFmtId="164" fontId="3" fillId="0" borderId="43" xfId="0" applyNumberFormat="1" applyFont="1" applyBorder="1" applyAlignment="1">
      <alignment horizontal="left"/>
    </xf>
    <xf numFmtId="0" fontId="0" fillId="0" borderId="29" xfId="0" applyFont="1" applyBorder="1"/>
    <xf numFmtId="0" fontId="1" fillId="0" borderId="0" xfId="0" applyFont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4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zoomScaleNormal="100" zoomScaleSheetLayoutView="80" workbookViewId="0"/>
  </sheetViews>
  <sheetFormatPr defaultRowHeight="15" x14ac:dyDescent="0.25"/>
  <cols>
    <col min="1" max="1" width="24.5703125" customWidth="1"/>
    <col min="2" max="2" width="10.140625" bestFit="1" customWidth="1"/>
    <col min="3" max="3" width="15.5703125" bestFit="1" customWidth="1"/>
    <col min="4" max="4" width="27" customWidth="1"/>
    <col min="5" max="5" width="14.28515625" customWidth="1"/>
    <col min="6" max="6" width="9.5703125" customWidth="1"/>
    <col min="7" max="7" width="18.7109375" customWidth="1"/>
    <col min="8" max="8" width="13.85546875" customWidth="1"/>
    <col min="9" max="9" width="16.42578125" customWidth="1"/>
    <col min="10" max="10" width="31.5703125" bestFit="1" customWidth="1"/>
    <col min="11" max="11" width="25.42578125" bestFit="1" customWidth="1"/>
    <col min="12" max="12" width="9.140625" customWidth="1"/>
    <col min="13" max="13" width="17.28515625" bestFit="1" customWidth="1"/>
    <col min="14" max="14" width="17.7109375" customWidth="1"/>
    <col min="15" max="15" width="20.42578125" bestFit="1" customWidth="1"/>
    <col min="16" max="16" width="14.85546875" customWidth="1"/>
    <col min="17" max="17" width="16.7109375" customWidth="1"/>
  </cols>
  <sheetData>
    <row r="1" spans="1:17" x14ac:dyDescent="0.25">
      <c r="A1" s="2" t="s">
        <v>90</v>
      </c>
    </row>
    <row r="2" spans="1:17" x14ac:dyDescent="0.25">
      <c r="A2" s="2" t="s">
        <v>94</v>
      </c>
    </row>
    <row r="3" spans="1:17" ht="15.75" thickBot="1" x14ac:dyDescent="0.3">
      <c r="A3" t="s">
        <v>2</v>
      </c>
      <c r="B3" t="s">
        <v>2</v>
      </c>
    </row>
    <row r="4" spans="1:17" ht="47.25" customHeight="1" thickTop="1" thickBot="1" x14ac:dyDescent="0.3">
      <c r="A4" s="94" t="s">
        <v>0</v>
      </c>
      <c r="B4" s="95" t="s">
        <v>3</v>
      </c>
      <c r="C4" s="51" t="s">
        <v>3</v>
      </c>
      <c r="D4" s="49" t="s">
        <v>6</v>
      </c>
      <c r="E4" s="50" t="s">
        <v>7</v>
      </c>
      <c r="F4" s="51" t="s">
        <v>7</v>
      </c>
      <c r="G4" s="52" t="s">
        <v>8</v>
      </c>
      <c r="H4" s="95" t="s">
        <v>3</v>
      </c>
      <c r="I4" s="51" t="s">
        <v>3</v>
      </c>
      <c r="J4" s="49" t="s">
        <v>6</v>
      </c>
      <c r="K4" s="50" t="s">
        <v>7</v>
      </c>
      <c r="L4" s="51" t="s">
        <v>7</v>
      </c>
      <c r="M4" s="52" t="s">
        <v>8</v>
      </c>
      <c r="N4" s="50" t="s">
        <v>7</v>
      </c>
      <c r="O4" s="1" t="s">
        <v>7</v>
      </c>
      <c r="P4" s="52" t="s">
        <v>8</v>
      </c>
    </row>
    <row r="5" spans="1:17" ht="15.75" thickTop="1" x14ac:dyDescent="0.25">
      <c r="A5" s="96" t="s">
        <v>1</v>
      </c>
      <c r="B5" s="97">
        <v>3010</v>
      </c>
      <c r="C5" s="98">
        <v>1600</v>
      </c>
      <c r="D5" s="99" t="s">
        <v>9</v>
      </c>
      <c r="E5" s="100">
        <v>3010</v>
      </c>
      <c r="F5" s="98">
        <v>1600</v>
      </c>
      <c r="G5" s="101" t="s">
        <v>9</v>
      </c>
      <c r="H5" s="97">
        <v>3010</v>
      </c>
      <c r="I5" s="98">
        <v>1600</v>
      </c>
      <c r="J5" s="99" t="s">
        <v>9</v>
      </c>
      <c r="K5" s="100">
        <v>3010</v>
      </c>
      <c r="L5" s="98">
        <v>1600</v>
      </c>
      <c r="M5" s="101" t="s">
        <v>9</v>
      </c>
      <c r="N5" s="100">
        <v>3010</v>
      </c>
      <c r="O5" s="98">
        <v>1600</v>
      </c>
      <c r="P5" s="101" t="s">
        <v>9</v>
      </c>
    </row>
    <row r="6" spans="1:17" ht="15.75" thickBot="1" x14ac:dyDescent="0.3">
      <c r="A6" s="102" t="s">
        <v>5</v>
      </c>
      <c r="B6" s="103">
        <v>640</v>
      </c>
      <c r="C6" s="104">
        <v>640</v>
      </c>
      <c r="D6" s="105">
        <v>640</v>
      </c>
      <c r="E6" s="106">
        <v>640</v>
      </c>
      <c r="F6" s="104">
        <v>640</v>
      </c>
      <c r="G6" s="107">
        <v>640</v>
      </c>
      <c r="H6" s="108">
        <v>640</v>
      </c>
      <c r="I6" s="104">
        <v>512</v>
      </c>
      <c r="J6" s="105" t="s">
        <v>10</v>
      </c>
      <c r="K6" s="106">
        <v>640</v>
      </c>
      <c r="L6" s="104">
        <v>512</v>
      </c>
      <c r="M6" s="107" t="s">
        <v>10</v>
      </c>
      <c r="N6" s="106">
        <v>640</v>
      </c>
      <c r="O6" s="104">
        <v>320</v>
      </c>
      <c r="P6" s="107" t="s">
        <v>11</v>
      </c>
    </row>
    <row r="7" spans="1:17" ht="16.5" thickTop="1" thickBot="1" x14ac:dyDescent="0.3">
      <c r="A7" s="109" t="s">
        <v>4</v>
      </c>
      <c r="B7" s="110">
        <v>570</v>
      </c>
      <c r="C7" s="111">
        <v>150</v>
      </c>
      <c r="D7" s="112">
        <f>B7+C7</f>
        <v>720</v>
      </c>
      <c r="E7" s="113">
        <v>530</v>
      </c>
      <c r="F7" s="114">
        <v>100</v>
      </c>
      <c r="G7" s="110">
        <f>E7+F7</f>
        <v>630</v>
      </c>
      <c r="H7" s="115">
        <v>570</v>
      </c>
      <c r="I7" s="116">
        <v>115</v>
      </c>
      <c r="J7" s="112">
        <f>H7+I7</f>
        <v>685</v>
      </c>
      <c r="K7" s="113">
        <v>530</v>
      </c>
      <c r="L7" s="114">
        <v>65</v>
      </c>
      <c r="M7" s="110">
        <f>K7+L7</f>
        <v>595</v>
      </c>
      <c r="N7" s="113">
        <v>530</v>
      </c>
      <c r="O7" s="117">
        <v>40</v>
      </c>
      <c r="P7" s="110">
        <f>N7+O7</f>
        <v>570</v>
      </c>
    </row>
    <row r="8" spans="1:17" ht="15.75" thickTop="1" x14ac:dyDescent="0.25">
      <c r="A8" s="3" t="s">
        <v>93</v>
      </c>
    </row>
    <row r="10" spans="1:17" x14ac:dyDescent="0.25">
      <c r="A10" s="2" t="s">
        <v>12</v>
      </c>
    </row>
    <row r="11" spans="1:17" x14ac:dyDescent="0.25">
      <c r="A11" t="s">
        <v>13</v>
      </c>
    </row>
    <row r="12" spans="1:17" x14ac:dyDescent="0.25">
      <c r="A12" t="s">
        <v>67</v>
      </c>
      <c r="O12" t="s">
        <v>2</v>
      </c>
    </row>
    <row r="14" spans="1:17" ht="15.75" thickBot="1" x14ac:dyDescent="0.3">
      <c r="A14" s="2" t="s">
        <v>56</v>
      </c>
      <c r="G14" s="122" t="s">
        <v>79</v>
      </c>
      <c r="H14" s="122"/>
      <c r="I14" s="122"/>
      <c r="J14" s="122"/>
      <c r="K14" s="122"/>
      <c r="L14" s="122"/>
      <c r="M14" s="122" t="s">
        <v>78</v>
      </c>
      <c r="N14" s="122"/>
      <c r="O14" s="122"/>
      <c r="P14" s="122"/>
    </row>
    <row r="15" spans="1:17" ht="55.9" customHeight="1" thickTop="1" thickBot="1" x14ac:dyDescent="0.3">
      <c r="A15" s="29" t="s">
        <v>22</v>
      </c>
      <c r="B15" s="30" t="s">
        <v>18</v>
      </c>
      <c r="C15" s="30" t="s">
        <v>19</v>
      </c>
      <c r="D15" s="30" t="s">
        <v>21</v>
      </c>
      <c r="E15" s="30" t="s">
        <v>14</v>
      </c>
      <c r="F15" s="30" t="s">
        <v>15</v>
      </c>
      <c r="G15" s="53" t="s">
        <v>76</v>
      </c>
      <c r="H15" s="53" t="s">
        <v>16</v>
      </c>
      <c r="I15" s="53" t="s">
        <v>20</v>
      </c>
      <c r="J15" s="53" t="s">
        <v>74</v>
      </c>
      <c r="K15" s="53" t="s">
        <v>66</v>
      </c>
      <c r="L15" s="54" t="s">
        <v>17</v>
      </c>
      <c r="M15" s="55" t="s">
        <v>77</v>
      </c>
      <c r="N15" s="53" t="s">
        <v>16</v>
      </c>
      <c r="O15" s="53" t="s">
        <v>92</v>
      </c>
      <c r="P15" s="54" t="s">
        <v>17</v>
      </c>
      <c r="Q15" s="93" t="s">
        <v>89</v>
      </c>
    </row>
    <row r="16" spans="1:17" ht="15.75" thickTop="1" x14ac:dyDescent="0.25">
      <c r="A16" s="31">
        <v>570</v>
      </c>
      <c r="B16" s="32">
        <v>570</v>
      </c>
      <c r="C16" s="32">
        <f>B16-A16</f>
        <v>0</v>
      </c>
      <c r="D16" s="32">
        <v>0</v>
      </c>
      <c r="E16" s="32">
        <v>0</v>
      </c>
      <c r="F16" s="32">
        <v>0</v>
      </c>
      <c r="G16" s="56" t="s">
        <v>23</v>
      </c>
      <c r="H16" s="56">
        <v>0</v>
      </c>
      <c r="I16" s="56">
        <v>0</v>
      </c>
      <c r="J16" s="56">
        <v>0</v>
      </c>
      <c r="K16" s="56">
        <v>0</v>
      </c>
      <c r="L16" s="57">
        <v>0</v>
      </c>
      <c r="M16" s="58" t="s">
        <v>23</v>
      </c>
      <c r="N16" s="56">
        <v>0</v>
      </c>
      <c r="O16" s="56">
        <v>0</v>
      </c>
      <c r="P16" s="57">
        <v>0</v>
      </c>
      <c r="Q16" s="88"/>
    </row>
    <row r="17" spans="1:18" x14ac:dyDescent="0.25">
      <c r="A17" s="33">
        <v>570</v>
      </c>
      <c r="B17" s="34">
        <f>B16+2</f>
        <v>572</v>
      </c>
      <c r="C17" s="35">
        <f t="shared" ref="C17:C25" si="0">B17-A17</f>
        <v>2</v>
      </c>
      <c r="D17" s="35">
        <f t="shared" ref="D17:D25" si="1">C17*B$35</f>
        <v>2040</v>
      </c>
      <c r="E17" s="36">
        <f t="shared" ref="E17:E25" si="2">B$36*D17</f>
        <v>597.8650439999999</v>
      </c>
      <c r="F17" s="36">
        <f>E17/3</f>
        <v>199.28834799999996</v>
      </c>
      <c r="G17" s="59">
        <f>0.6*F17</f>
        <v>119.57300879999997</v>
      </c>
      <c r="H17" s="59">
        <f t="shared" ref="H17:H25" si="3">G17/8</f>
        <v>14.946626099999996</v>
      </c>
      <c r="I17" s="59">
        <f t="shared" ref="I17:I25" si="4">G17/0.21</f>
        <v>569.39527999999984</v>
      </c>
      <c r="J17" s="60">
        <f t="shared" ref="J17:J25" si="5">I$53*I17</f>
        <v>40757.23505972221</v>
      </c>
      <c r="K17" s="60">
        <f>1.25*J17</f>
        <v>50946.543824652763</v>
      </c>
      <c r="L17" s="61">
        <f t="shared" ref="L17:L25" si="6">K17/B$37</f>
        <v>1.1695717131462986</v>
      </c>
      <c r="M17" s="62">
        <f t="shared" ref="M17:M25" si="7">G17/2</f>
        <v>59.786504399999984</v>
      </c>
      <c r="N17" s="59">
        <f t="shared" ref="N17:N25" si="8">M17/4</f>
        <v>14.946626099999996</v>
      </c>
      <c r="O17" s="59">
        <f t="shared" ref="O17:O25" si="9">I17/2</f>
        <v>284.69763999999992</v>
      </c>
      <c r="P17" s="61">
        <f t="shared" ref="P17:P25" si="10">L17/2</f>
        <v>0.5847858565731493</v>
      </c>
      <c r="Q17" s="89" t="s">
        <v>85</v>
      </c>
    </row>
    <row r="18" spans="1:18" x14ac:dyDescent="0.25">
      <c r="A18" s="37">
        <v>570</v>
      </c>
      <c r="B18" s="38">
        <f t="shared" ref="B18:B25" si="11">B17+2</f>
        <v>574</v>
      </c>
      <c r="C18" s="38">
        <f t="shared" si="0"/>
        <v>4</v>
      </c>
      <c r="D18" s="38">
        <f t="shared" si="1"/>
        <v>4080</v>
      </c>
      <c r="E18" s="39">
        <f t="shared" si="2"/>
        <v>1195.7300879999998</v>
      </c>
      <c r="F18" s="39">
        <f t="shared" ref="F18:F29" si="12">E18/3</f>
        <v>398.57669599999991</v>
      </c>
      <c r="G18" s="63">
        <f t="shared" ref="G18:G25" si="13">0.6*F18</f>
        <v>239.14601759999994</v>
      </c>
      <c r="H18" s="63">
        <f t="shared" si="3"/>
        <v>29.893252199999992</v>
      </c>
      <c r="I18" s="63">
        <f t="shared" si="4"/>
        <v>1138.7905599999997</v>
      </c>
      <c r="J18" s="63">
        <f t="shared" si="5"/>
        <v>81514.470119444421</v>
      </c>
      <c r="K18" s="63">
        <f t="shared" ref="K18:K29" si="14">1.25*J18</f>
        <v>101893.08764930553</v>
      </c>
      <c r="L18" s="64">
        <f t="shared" si="6"/>
        <v>2.3391434262925972</v>
      </c>
      <c r="M18" s="65">
        <f t="shared" si="7"/>
        <v>119.57300879999997</v>
      </c>
      <c r="N18" s="63">
        <f t="shared" si="8"/>
        <v>29.893252199999992</v>
      </c>
      <c r="O18" s="63">
        <f t="shared" si="9"/>
        <v>569.39527999999984</v>
      </c>
      <c r="P18" s="64">
        <f t="shared" si="10"/>
        <v>1.1695717131462986</v>
      </c>
      <c r="Q18" s="89"/>
    </row>
    <row r="19" spans="1:18" x14ac:dyDescent="0.25">
      <c r="A19" s="37">
        <v>570</v>
      </c>
      <c r="B19" s="38">
        <f t="shared" si="11"/>
        <v>576</v>
      </c>
      <c r="C19" s="38">
        <f t="shared" si="0"/>
        <v>6</v>
      </c>
      <c r="D19" s="38">
        <f t="shared" si="1"/>
        <v>6120</v>
      </c>
      <c r="E19" s="39">
        <f t="shared" si="2"/>
        <v>1793.5951319999999</v>
      </c>
      <c r="F19" s="39">
        <f t="shared" si="12"/>
        <v>597.86504400000001</v>
      </c>
      <c r="G19" s="63">
        <f t="shared" si="13"/>
        <v>358.71902640000002</v>
      </c>
      <c r="H19" s="63">
        <f t="shared" si="3"/>
        <v>44.839878300000002</v>
      </c>
      <c r="I19" s="63">
        <f t="shared" si="4"/>
        <v>1708.1858400000001</v>
      </c>
      <c r="J19" s="63">
        <f t="shared" si="5"/>
        <v>122271.70517916667</v>
      </c>
      <c r="K19" s="63">
        <f t="shared" si="14"/>
        <v>152839.63147395835</v>
      </c>
      <c r="L19" s="64">
        <f t="shared" si="6"/>
        <v>3.5087151394388969</v>
      </c>
      <c r="M19" s="65">
        <f t="shared" si="7"/>
        <v>179.35951320000001</v>
      </c>
      <c r="N19" s="63">
        <f t="shared" si="8"/>
        <v>44.839878300000002</v>
      </c>
      <c r="O19" s="63">
        <f t="shared" si="9"/>
        <v>854.09292000000005</v>
      </c>
      <c r="P19" s="64">
        <f t="shared" si="10"/>
        <v>1.7543575697194485</v>
      </c>
      <c r="Q19" s="89"/>
    </row>
    <row r="20" spans="1:18" x14ac:dyDescent="0.25">
      <c r="A20" s="37">
        <v>570</v>
      </c>
      <c r="B20" s="38">
        <f t="shared" si="11"/>
        <v>578</v>
      </c>
      <c r="C20" s="38">
        <f>B20-A20</f>
        <v>8</v>
      </c>
      <c r="D20" s="38">
        <f t="shared" si="1"/>
        <v>8160</v>
      </c>
      <c r="E20" s="39">
        <f t="shared" si="2"/>
        <v>2391.4601759999996</v>
      </c>
      <c r="F20" s="39">
        <f t="shared" si="12"/>
        <v>797.15339199999983</v>
      </c>
      <c r="G20" s="63">
        <f t="shared" si="13"/>
        <v>478.29203519999987</v>
      </c>
      <c r="H20" s="63">
        <f t="shared" si="3"/>
        <v>59.786504399999984</v>
      </c>
      <c r="I20" s="63">
        <f t="shared" si="4"/>
        <v>2277.5811199999994</v>
      </c>
      <c r="J20" s="63">
        <f t="shared" si="5"/>
        <v>163028.94023888884</v>
      </c>
      <c r="K20" s="63">
        <f t="shared" si="14"/>
        <v>203786.17529861105</v>
      </c>
      <c r="L20" s="64">
        <f t="shared" si="6"/>
        <v>4.6782868525851944</v>
      </c>
      <c r="M20" s="65">
        <f t="shared" si="7"/>
        <v>239.14601759999994</v>
      </c>
      <c r="N20" s="63">
        <f t="shared" si="8"/>
        <v>59.786504399999984</v>
      </c>
      <c r="O20" s="63">
        <f t="shared" si="9"/>
        <v>1138.7905599999997</v>
      </c>
      <c r="P20" s="64">
        <f t="shared" si="10"/>
        <v>2.3391434262925972</v>
      </c>
      <c r="Q20" s="89"/>
    </row>
    <row r="21" spans="1:18" x14ac:dyDescent="0.25">
      <c r="A21" s="37">
        <v>570</v>
      </c>
      <c r="B21" s="38">
        <f>B20+2</f>
        <v>580</v>
      </c>
      <c r="C21" s="38">
        <f t="shared" si="0"/>
        <v>10</v>
      </c>
      <c r="D21" s="38">
        <f t="shared" si="1"/>
        <v>10200</v>
      </c>
      <c r="E21" s="39">
        <f t="shared" si="2"/>
        <v>2989.3252199999997</v>
      </c>
      <c r="F21" s="39">
        <f t="shared" si="12"/>
        <v>996.44173999999987</v>
      </c>
      <c r="G21" s="63">
        <f t="shared" si="13"/>
        <v>597.8650439999999</v>
      </c>
      <c r="H21" s="63">
        <f t="shared" si="3"/>
        <v>74.733130499999987</v>
      </c>
      <c r="I21" s="63">
        <f t="shared" si="4"/>
        <v>2846.9763999999996</v>
      </c>
      <c r="J21" s="63">
        <f t="shared" si="5"/>
        <v>203786.17529861108</v>
      </c>
      <c r="K21" s="63">
        <f t="shared" si="14"/>
        <v>254732.71912326384</v>
      </c>
      <c r="L21" s="64">
        <f t="shared" si="6"/>
        <v>5.8478585657314932</v>
      </c>
      <c r="M21" s="65">
        <f t="shared" si="7"/>
        <v>298.93252199999995</v>
      </c>
      <c r="N21" s="63">
        <f t="shared" si="8"/>
        <v>74.733130499999987</v>
      </c>
      <c r="O21" s="63">
        <f t="shared" si="9"/>
        <v>1423.4881999999998</v>
      </c>
      <c r="P21" s="64">
        <f t="shared" si="10"/>
        <v>2.9239292828657466</v>
      </c>
      <c r="Q21" s="89"/>
    </row>
    <row r="22" spans="1:18" x14ac:dyDescent="0.25">
      <c r="A22" s="37">
        <v>570</v>
      </c>
      <c r="B22" s="38">
        <f t="shared" si="11"/>
        <v>582</v>
      </c>
      <c r="C22" s="38">
        <f t="shared" si="0"/>
        <v>12</v>
      </c>
      <c r="D22" s="38">
        <f t="shared" si="1"/>
        <v>12240</v>
      </c>
      <c r="E22" s="39">
        <f t="shared" si="2"/>
        <v>3587.1902639999998</v>
      </c>
      <c r="F22" s="39">
        <f t="shared" si="12"/>
        <v>1195.730088</v>
      </c>
      <c r="G22" s="63">
        <f t="shared" si="13"/>
        <v>717.43805280000004</v>
      </c>
      <c r="H22" s="63">
        <f t="shared" si="3"/>
        <v>89.679756600000005</v>
      </c>
      <c r="I22" s="63">
        <f t="shared" si="4"/>
        <v>3416.3716800000002</v>
      </c>
      <c r="J22" s="63">
        <f t="shared" si="5"/>
        <v>244543.41035833335</v>
      </c>
      <c r="K22" s="63">
        <f t="shared" si="14"/>
        <v>305679.26294791669</v>
      </c>
      <c r="L22" s="64">
        <f t="shared" si="6"/>
        <v>7.0174302788777938</v>
      </c>
      <c r="M22" s="65">
        <f t="shared" si="7"/>
        <v>358.71902640000002</v>
      </c>
      <c r="N22" s="63">
        <f t="shared" si="8"/>
        <v>89.679756600000005</v>
      </c>
      <c r="O22" s="63">
        <f t="shared" si="9"/>
        <v>1708.1858400000001</v>
      </c>
      <c r="P22" s="64">
        <f t="shared" si="10"/>
        <v>3.5087151394388969</v>
      </c>
      <c r="Q22" s="89"/>
    </row>
    <row r="23" spans="1:18" x14ac:dyDescent="0.25">
      <c r="A23" s="37">
        <v>570</v>
      </c>
      <c r="B23" s="38">
        <f t="shared" si="11"/>
        <v>584</v>
      </c>
      <c r="C23" s="38">
        <f t="shared" si="0"/>
        <v>14</v>
      </c>
      <c r="D23" s="38">
        <f t="shared" si="1"/>
        <v>14280</v>
      </c>
      <c r="E23" s="39">
        <f t="shared" si="2"/>
        <v>4185.055308</v>
      </c>
      <c r="F23" s="39">
        <f t="shared" si="12"/>
        <v>1395.0184360000001</v>
      </c>
      <c r="G23" s="63">
        <f t="shared" si="13"/>
        <v>837.01106160000006</v>
      </c>
      <c r="H23" s="63">
        <f t="shared" si="3"/>
        <v>104.62638270000001</v>
      </c>
      <c r="I23" s="63">
        <f t="shared" si="4"/>
        <v>3985.7669600000004</v>
      </c>
      <c r="J23" s="63">
        <f t="shared" si="5"/>
        <v>285300.64541805559</v>
      </c>
      <c r="K23" s="63">
        <f t="shared" si="14"/>
        <v>356625.80677256949</v>
      </c>
      <c r="L23" s="64">
        <f t="shared" si="6"/>
        <v>8.1870019920240935</v>
      </c>
      <c r="M23" s="65">
        <f t="shared" si="7"/>
        <v>418.50553080000003</v>
      </c>
      <c r="N23" s="63">
        <f t="shared" si="8"/>
        <v>104.62638270000001</v>
      </c>
      <c r="O23" s="63">
        <f t="shared" si="9"/>
        <v>1992.8834800000002</v>
      </c>
      <c r="P23" s="64">
        <f t="shared" si="10"/>
        <v>4.0935009960120468</v>
      </c>
      <c r="Q23" s="89"/>
    </row>
    <row r="24" spans="1:18" x14ac:dyDescent="0.25">
      <c r="A24" s="37">
        <v>570</v>
      </c>
      <c r="B24" s="38">
        <f t="shared" si="11"/>
        <v>586</v>
      </c>
      <c r="C24" s="38">
        <f t="shared" si="0"/>
        <v>16</v>
      </c>
      <c r="D24" s="38">
        <f t="shared" si="1"/>
        <v>16320</v>
      </c>
      <c r="E24" s="39">
        <f t="shared" si="2"/>
        <v>4782.9203519999992</v>
      </c>
      <c r="F24" s="39">
        <f t="shared" si="12"/>
        <v>1594.3067839999997</v>
      </c>
      <c r="G24" s="63">
        <f t="shared" si="13"/>
        <v>956.58407039999975</v>
      </c>
      <c r="H24" s="63">
        <f t="shared" si="3"/>
        <v>119.57300879999997</v>
      </c>
      <c r="I24" s="63">
        <f t="shared" si="4"/>
        <v>4555.1622399999987</v>
      </c>
      <c r="J24" s="63">
        <f t="shared" si="5"/>
        <v>326057.88047777768</v>
      </c>
      <c r="K24" s="63">
        <f t="shared" si="14"/>
        <v>407572.3505972221</v>
      </c>
      <c r="L24" s="64">
        <f t="shared" si="6"/>
        <v>9.3565737051703888</v>
      </c>
      <c r="M24" s="65">
        <f t="shared" si="7"/>
        <v>478.29203519999987</v>
      </c>
      <c r="N24" s="63">
        <f t="shared" si="8"/>
        <v>119.57300879999997</v>
      </c>
      <c r="O24" s="63">
        <f t="shared" si="9"/>
        <v>2277.5811199999994</v>
      </c>
      <c r="P24" s="64">
        <f t="shared" si="10"/>
        <v>4.6782868525851944</v>
      </c>
      <c r="Q24" s="89"/>
    </row>
    <row r="25" spans="1:18" x14ac:dyDescent="0.25">
      <c r="A25" s="37">
        <v>570</v>
      </c>
      <c r="B25" s="38">
        <f t="shared" si="11"/>
        <v>588</v>
      </c>
      <c r="C25" s="38">
        <f t="shared" si="0"/>
        <v>18</v>
      </c>
      <c r="D25" s="38">
        <f t="shared" si="1"/>
        <v>18360</v>
      </c>
      <c r="E25" s="39">
        <f t="shared" si="2"/>
        <v>5380.7853959999993</v>
      </c>
      <c r="F25" s="39">
        <f t="shared" si="12"/>
        <v>1793.5951319999997</v>
      </c>
      <c r="G25" s="63">
        <f t="shared" si="13"/>
        <v>1076.1570791999998</v>
      </c>
      <c r="H25" s="63">
        <f t="shared" si="3"/>
        <v>134.51963489999997</v>
      </c>
      <c r="I25" s="63">
        <f t="shared" si="4"/>
        <v>5124.5575199999994</v>
      </c>
      <c r="J25" s="63">
        <f t="shared" si="5"/>
        <v>366815.11553749995</v>
      </c>
      <c r="K25" s="63">
        <f t="shared" si="14"/>
        <v>458518.89442187495</v>
      </c>
      <c r="L25" s="64">
        <f t="shared" si="6"/>
        <v>10.526145418316689</v>
      </c>
      <c r="M25" s="65">
        <f t="shared" si="7"/>
        <v>538.07853959999989</v>
      </c>
      <c r="N25" s="63">
        <f t="shared" si="8"/>
        <v>134.51963489999997</v>
      </c>
      <c r="O25" s="63">
        <f t="shared" si="9"/>
        <v>2562.2787599999997</v>
      </c>
      <c r="P25" s="64">
        <f t="shared" si="10"/>
        <v>5.2630727091583447</v>
      </c>
      <c r="Q25" s="89"/>
    </row>
    <row r="26" spans="1:18" x14ac:dyDescent="0.25">
      <c r="A26" s="33">
        <v>570</v>
      </c>
      <c r="B26" s="34">
        <v>590</v>
      </c>
      <c r="C26" s="35">
        <v>20</v>
      </c>
      <c r="D26" s="35">
        <v>20400</v>
      </c>
      <c r="E26" s="36">
        <v>5978.6504399999994</v>
      </c>
      <c r="F26" s="36">
        <v>1992.8834799999997</v>
      </c>
      <c r="G26" s="59">
        <v>1195.7300879999998</v>
      </c>
      <c r="H26" s="59">
        <v>149.46626099999997</v>
      </c>
      <c r="I26" s="59">
        <v>5693.9527999999991</v>
      </c>
      <c r="J26" s="60">
        <v>407572.35059722216</v>
      </c>
      <c r="K26" s="60">
        <v>509465.43824652769</v>
      </c>
      <c r="L26" s="61">
        <v>11.695717131462986</v>
      </c>
      <c r="M26" s="62">
        <v>597.8650439999999</v>
      </c>
      <c r="N26" s="59">
        <v>149.46626099999997</v>
      </c>
      <c r="O26" s="59">
        <v>2846.9763999999996</v>
      </c>
      <c r="P26" s="61">
        <v>5.8478585657314932</v>
      </c>
      <c r="Q26" s="89" t="s">
        <v>87</v>
      </c>
    </row>
    <row r="27" spans="1:18" ht="15.75" thickBot="1" x14ac:dyDescent="0.3">
      <c r="A27" s="40">
        <v>570</v>
      </c>
      <c r="B27" s="41">
        <f>B26+5</f>
        <v>595</v>
      </c>
      <c r="C27" s="42">
        <f>B27-A27</f>
        <v>25</v>
      </c>
      <c r="D27" s="42">
        <f>C27*B$35</f>
        <v>25500</v>
      </c>
      <c r="E27" s="43">
        <f>B$36*D27</f>
        <v>7473.3130499999997</v>
      </c>
      <c r="F27" s="43">
        <f>E27/3</f>
        <v>2491.1043500000001</v>
      </c>
      <c r="G27" s="66">
        <f>0.6*F27</f>
        <v>1494.6626100000001</v>
      </c>
      <c r="H27" s="67">
        <f>G27/8</f>
        <v>186.83282625000001</v>
      </c>
      <c r="I27" s="66">
        <f>G27/0.21</f>
        <v>7117.4410000000007</v>
      </c>
      <c r="J27" s="68">
        <f>I$53*I27</f>
        <v>509465.43824652786</v>
      </c>
      <c r="K27" s="68">
        <f>1.25*J27</f>
        <v>636831.79780815984</v>
      </c>
      <c r="L27" s="69">
        <f>K27/B$37</f>
        <v>14.619646414328738</v>
      </c>
      <c r="M27" s="70">
        <f>G27/2</f>
        <v>747.33130500000004</v>
      </c>
      <c r="N27" s="67">
        <f>M27/4</f>
        <v>186.83282625000001</v>
      </c>
      <c r="O27" s="66">
        <f>I27/2</f>
        <v>3558.7205000000004</v>
      </c>
      <c r="P27" s="69">
        <f>L27/2</f>
        <v>7.309823207164369</v>
      </c>
      <c r="Q27" s="90" t="s">
        <v>88</v>
      </c>
    </row>
    <row r="28" spans="1:18" ht="16.5" thickTop="1" thickBot="1" x14ac:dyDescent="0.3">
      <c r="A28" s="7" t="s">
        <v>75</v>
      </c>
      <c r="B28" s="4"/>
      <c r="C28" s="4"/>
      <c r="D28" s="4"/>
      <c r="E28" s="5"/>
      <c r="F28" s="5"/>
      <c r="G28" s="71"/>
      <c r="H28" s="71"/>
      <c r="I28" s="71"/>
      <c r="J28" s="71"/>
      <c r="K28" s="71"/>
      <c r="L28" s="72"/>
      <c r="M28" s="28"/>
      <c r="N28" s="28"/>
      <c r="O28" s="28"/>
      <c r="P28" s="28"/>
      <c r="Q28" s="46"/>
    </row>
    <row r="29" spans="1:18" s="44" customFormat="1" ht="16.5" thickTop="1" thickBot="1" x14ac:dyDescent="0.3">
      <c r="A29" s="85" t="s">
        <v>83</v>
      </c>
      <c r="B29" s="47"/>
      <c r="C29" s="47">
        <v>25</v>
      </c>
      <c r="D29" s="48">
        <f>C29*B$35</f>
        <v>25500</v>
      </c>
      <c r="E29" s="45">
        <f>B$36*D29</f>
        <v>7473.3130499999997</v>
      </c>
      <c r="F29" s="45">
        <f t="shared" si="12"/>
        <v>2491.1043500000001</v>
      </c>
      <c r="G29" s="73">
        <f>0.6*F29</f>
        <v>1494.6626100000001</v>
      </c>
      <c r="H29" s="73">
        <f>G29/8</f>
        <v>186.83282625000001</v>
      </c>
      <c r="I29" s="73">
        <f>G29/0.21</f>
        <v>7117.4410000000007</v>
      </c>
      <c r="J29" s="73">
        <f>I$53*I29</f>
        <v>509465.43824652786</v>
      </c>
      <c r="K29" s="73">
        <f t="shared" si="14"/>
        <v>636831.79780815984</v>
      </c>
      <c r="L29" s="74">
        <f>K29/B$37</f>
        <v>14.619646414328738</v>
      </c>
      <c r="M29" s="75">
        <f>G29/2</f>
        <v>747.33130500000004</v>
      </c>
      <c r="N29" s="73">
        <f>M29/4</f>
        <v>186.83282625000001</v>
      </c>
      <c r="O29" s="73">
        <f>I29/2</f>
        <v>3558.7205000000004</v>
      </c>
      <c r="P29" s="76">
        <f>L29/2</f>
        <v>7.309823207164369</v>
      </c>
      <c r="Q29" s="86"/>
      <c r="R29" s="91"/>
    </row>
    <row r="30" spans="1:18" ht="16.5" thickTop="1" thickBot="1" x14ac:dyDescent="0.3">
      <c r="A30" s="7" t="s">
        <v>82</v>
      </c>
      <c r="B30" s="4"/>
      <c r="C30" s="4"/>
      <c r="D30" s="4"/>
      <c r="E30" s="5"/>
      <c r="F30" s="5"/>
      <c r="G30" s="71"/>
      <c r="H30" s="71"/>
      <c r="I30" s="71"/>
      <c r="J30" s="71"/>
      <c r="K30" s="71"/>
      <c r="L30" s="72"/>
      <c r="M30" s="28"/>
      <c r="N30" s="28"/>
      <c r="O30" s="28"/>
      <c r="P30" s="28"/>
      <c r="Q30" s="46"/>
    </row>
    <row r="31" spans="1:18" ht="16.5" thickTop="1" thickBot="1" x14ac:dyDescent="0.3">
      <c r="A31" s="86" t="s">
        <v>84</v>
      </c>
      <c r="B31" s="77"/>
      <c r="C31" s="77">
        <v>44.51</v>
      </c>
      <c r="D31" s="78">
        <f>C31*B$35</f>
        <v>45400.2</v>
      </c>
      <c r="E31" s="79">
        <f>B$36*D31</f>
        <v>13305.486554219999</v>
      </c>
      <c r="F31" s="79">
        <f t="shared" ref="F31" si="15">E31/3</f>
        <v>4435.1621847399992</v>
      </c>
      <c r="G31" s="80">
        <f>0.6*F31</f>
        <v>2661.0973108439994</v>
      </c>
      <c r="H31" s="80">
        <f>G31/8</f>
        <v>332.63716385549992</v>
      </c>
      <c r="I31" s="80">
        <f>G31/0.21</f>
        <v>12671.891956399997</v>
      </c>
      <c r="J31" s="81">
        <f>I$53*I31</f>
        <v>907052.26625411783</v>
      </c>
      <c r="K31" s="81">
        <f t="shared" ref="K31" si="16">1.25*J31</f>
        <v>1133815.3328176474</v>
      </c>
      <c r="L31" s="82">
        <f>K31/B$37</f>
        <v>26.028818476070878</v>
      </c>
      <c r="M31" s="83">
        <f>G31/2</f>
        <v>1330.5486554219997</v>
      </c>
      <c r="N31" s="80">
        <f t="shared" ref="N31" si="17">M31/4</f>
        <v>332.63716385549992</v>
      </c>
      <c r="O31" s="80">
        <f>I31/2</f>
        <v>6335.9459781999985</v>
      </c>
      <c r="P31" s="84">
        <f>L31/2</f>
        <v>13.014409238035439</v>
      </c>
      <c r="Q31" s="87" t="s">
        <v>86</v>
      </c>
    </row>
    <row r="32" spans="1:18" ht="15.75" thickTop="1" x14ac:dyDescent="0.25">
      <c r="A32" s="7" t="s">
        <v>81</v>
      </c>
      <c r="B32" s="4"/>
      <c r="C32" s="4"/>
      <c r="D32" s="4"/>
      <c r="E32" s="5"/>
      <c r="F32" s="5"/>
      <c r="G32" s="5"/>
      <c r="H32" s="5"/>
      <c r="I32" s="5"/>
      <c r="J32" s="5"/>
      <c r="K32" s="5"/>
      <c r="L32" s="6"/>
    </row>
    <row r="33" spans="1:18" ht="15.75" thickBot="1" x14ac:dyDescent="0.3">
      <c r="A33" s="7"/>
      <c r="B33" s="4"/>
      <c r="C33" s="4"/>
      <c r="D33" s="4"/>
      <c r="E33" s="5"/>
      <c r="F33" s="5"/>
      <c r="G33" s="5"/>
      <c r="H33" s="5"/>
      <c r="I33" s="5"/>
      <c r="J33" s="5"/>
      <c r="K33" s="5"/>
      <c r="L33" s="6"/>
    </row>
    <row r="34" spans="1:18" ht="15.75" thickTop="1" x14ac:dyDescent="0.25">
      <c r="A34" s="119" t="s">
        <v>73</v>
      </c>
      <c r="B34" s="120"/>
      <c r="C34" s="121"/>
      <c r="E34" s="2" t="s">
        <v>68</v>
      </c>
    </row>
    <row r="35" spans="1:18" x14ac:dyDescent="0.25">
      <c r="A35" s="20" t="s">
        <v>24</v>
      </c>
      <c r="B35" s="21">
        <v>1020</v>
      </c>
      <c r="C35" s="22"/>
      <c r="E35" t="s">
        <v>69</v>
      </c>
    </row>
    <row r="36" spans="1:18" x14ac:dyDescent="0.25">
      <c r="A36" s="20" t="s">
        <v>28</v>
      </c>
      <c r="B36" s="21">
        <v>0.29307109999999997</v>
      </c>
      <c r="C36" s="22" t="s">
        <v>25</v>
      </c>
      <c r="E36" t="s">
        <v>72</v>
      </c>
    </row>
    <row r="37" spans="1:18" ht="15.75" thickBot="1" x14ac:dyDescent="0.3">
      <c r="A37" s="23" t="s">
        <v>26</v>
      </c>
      <c r="B37" s="24">
        <v>43560</v>
      </c>
      <c r="C37" s="25" t="s">
        <v>27</v>
      </c>
      <c r="E37" t="s">
        <v>70</v>
      </c>
    </row>
    <row r="38" spans="1:18" ht="15.75" thickTop="1" x14ac:dyDescent="0.25">
      <c r="E38" t="s">
        <v>71</v>
      </c>
      <c r="N38" t="s">
        <v>2</v>
      </c>
    </row>
    <row r="39" spans="1:18" s="118" customFormat="1" x14ac:dyDescent="0.25"/>
    <row r="40" spans="1:18" ht="18.75" x14ac:dyDescent="0.3">
      <c r="A40" s="123" t="s">
        <v>91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</row>
    <row r="42" spans="1:18" x14ac:dyDescent="0.25">
      <c r="A42" s="27" t="s">
        <v>29</v>
      </c>
      <c r="B42" s="28" t="s">
        <v>55</v>
      </c>
      <c r="C42" s="28"/>
      <c r="D42" s="28"/>
      <c r="E42" s="28"/>
      <c r="F42" s="28"/>
      <c r="G42" s="28"/>
      <c r="H42" s="28"/>
      <c r="I42" s="28"/>
    </row>
    <row r="43" spans="1:18" x14ac:dyDescent="0.25">
      <c r="A43" t="s">
        <v>30</v>
      </c>
    </row>
    <row r="44" spans="1:18" x14ac:dyDescent="0.25">
      <c r="A44" t="s">
        <v>31</v>
      </c>
      <c r="E44" s="92" t="s">
        <v>80</v>
      </c>
      <c r="F44" s="92"/>
      <c r="G44" s="92"/>
      <c r="H44" s="92"/>
      <c r="I44" s="92"/>
      <c r="J44" s="92"/>
      <c r="K44" s="92"/>
    </row>
    <row r="45" spans="1:18" ht="15.75" thickBot="1" x14ac:dyDescent="0.3">
      <c r="A45" s="2" t="s">
        <v>32</v>
      </c>
      <c r="E45" t="s">
        <v>2</v>
      </c>
    </row>
    <row r="46" spans="1:18" ht="15.75" thickTop="1" x14ac:dyDescent="0.25">
      <c r="A46" t="s">
        <v>33</v>
      </c>
      <c r="E46" s="8" t="s">
        <v>45</v>
      </c>
      <c r="F46" s="15"/>
      <c r="G46" s="9"/>
      <c r="H46" s="8" t="s">
        <v>64</v>
      </c>
      <c r="I46" s="15"/>
      <c r="J46" s="15"/>
      <c r="K46" s="9"/>
    </row>
    <row r="47" spans="1:18" x14ac:dyDescent="0.25">
      <c r="A47" t="s">
        <v>34</v>
      </c>
      <c r="E47" s="10" t="s">
        <v>46</v>
      </c>
      <c r="F47" s="4"/>
      <c r="G47" s="11"/>
      <c r="H47" s="10" t="s">
        <v>2</v>
      </c>
      <c r="I47" s="4" t="s">
        <v>2</v>
      </c>
      <c r="J47" s="4" t="s">
        <v>2</v>
      </c>
      <c r="K47" s="11"/>
    </row>
    <row r="48" spans="1:18" x14ac:dyDescent="0.25">
      <c r="A48" s="2" t="s">
        <v>35</v>
      </c>
      <c r="E48" s="10" t="s">
        <v>47</v>
      </c>
      <c r="F48" s="4"/>
      <c r="G48" s="11"/>
      <c r="H48" s="10" t="s">
        <v>57</v>
      </c>
      <c r="I48" s="6">
        <f>51.5/12</f>
        <v>4.291666666666667</v>
      </c>
      <c r="J48" s="4" t="s">
        <v>59</v>
      </c>
      <c r="K48" s="11"/>
    </row>
    <row r="49" spans="1:11" x14ac:dyDescent="0.25">
      <c r="A49" t="s">
        <v>36</v>
      </c>
      <c r="E49" s="10" t="s">
        <v>48</v>
      </c>
      <c r="F49" s="4"/>
      <c r="G49" s="11"/>
      <c r="H49" s="10" t="s">
        <v>58</v>
      </c>
      <c r="I49" s="6">
        <f>32.4/12+49.4/12</f>
        <v>6.8166666666666664</v>
      </c>
      <c r="J49" s="4" t="s">
        <v>59</v>
      </c>
      <c r="K49" s="11"/>
    </row>
    <row r="50" spans="1:11" x14ac:dyDescent="0.25">
      <c r="A50" t="s">
        <v>37</v>
      </c>
      <c r="E50" s="10" t="s">
        <v>49</v>
      </c>
      <c r="F50" s="4"/>
      <c r="G50" s="11"/>
      <c r="H50" s="16" t="s">
        <v>65</v>
      </c>
      <c r="I50" s="17"/>
      <c r="J50" s="17"/>
      <c r="K50" s="18"/>
    </row>
    <row r="51" spans="1:11" x14ac:dyDescent="0.25">
      <c r="A51" t="s">
        <v>38</v>
      </c>
      <c r="E51" s="12" t="s">
        <v>50</v>
      </c>
      <c r="F51" s="4"/>
      <c r="G51" s="11"/>
      <c r="H51" s="10" t="s">
        <v>61</v>
      </c>
      <c r="I51" s="6">
        <f>I48+1.5*2</f>
        <v>7.291666666666667</v>
      </c>
      <c r="J51" s="4" t="s">
        <v>59</v>
      </c>
      <c r="K51" s="11"/>
    </row>
    <row r="52" spans="1:11" x14ac:dyDescent="0.25">
      <c r="A52" s="2" t="s">
        <v>39</v>
      </c>
      <c r="E52" s="10" t="s">
        <v>51</v>
      </c>
      <c r="F52" s="4"/>
      <c r="G52" s="11"/>
      <c r="H52" s="10" t="s">
        <v>62</v>
      </c>
      <c r="I52" s="6">
        <f>I49+1.5*2</f>
        <v>9.8166666666666664</v>
      </c>
      <c r="J52" s="4" t="s">
        <v>59</v>
      </c>
      <c r="K52" s="11"/>
    </row>
    <row r="53" spans="1:11" x14ac:dyDescent="0.25">
      <c r="A53" t="s">
        <v>40</v>
      </c>
      <c r="E53" s="10" t="s">
        <v>52</v>
      </c>
      <c r="F53" s="4"/>
      <c r="G53" s="11"/>
      <c r="H53" s="12" t="s">
        <v>63</v>
      </c>
      <c r="I53" s="26">
        <f>I51*I52</f>
        <v>71.579861111111114</v>
      </c>
      <c r="J53" s="4" t="s">
        <v>60</v>
      </c>
      <c r="K53" s="11"/>
    </row>
    <row r="54" spans="1:11" x14ac:dyDescent="0.25">
      <c r="A54" s="2" t="s">
        <v>41</v>
      </c>
      <c r="E54" s="10" t="s">
        <v>53</v>
      </c>
      <c r="F54" s="4"/>
      <c r="G54" s="11"/>
      <c r="H54" s="10"/>
      <c r="I54" s="4"/>
      <c r="J54" s="4"/>
      <c r="K54" s="11"/>
    </row>
    <row r="55" spans="1:11" ht="15.75" thickBot="1" x14ac:dyDescent="0.3">
      <c r="A55" t="s">
        <v>42</v>
      </c>
      <c r="E55" s="13" t="s">
        <v>54</v>
      </c>
      <c r="F55" s="19"/>
      <c r="G55" s="14"/>
      <c r="H55" s="13"/>
      <c r="I55" s="19"/>
      <c r="J55" s="19"/>
      <c r="K55" s="14"/>
    </row>
    <row r="56" spans="1:11" ht="15.75" thickTop="1" x14ac:dyDescent="0.25">
      <c r="A56" t="s">
        <v>43</v>
      </c>
    </row>
    <row r="57" spans="1:11" x14ac:dyDescent="0.25">
      <c r="A57" t="s">
        <v>44</v>
      </c>
    </row>
  </sheetData>
  <mergeCells count="4">
    <mergeCell ref="A34:C34"/>
    <mergeCell ref="G14:L14"/>
    <mergeCell ref="M14:P14"/>
    <mergeCell ref="A40:R40"/>
  </mergeCells>
  <pageMargins left="0.7" right="0.7" top="0.5" bottom="0.5" header="0.2" footer="0.2"/>
  <pageSetup paperSize="17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WorleyParsons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Datta-Barua, Lohit (Houston)</dc:creator>
  <cp:lastModifiedBy>Cook, Amy</cp:lastModifiedBy>
  <cp:lastPrinted>2018-11-06T01:54:53Z</cp:lastPrinted>
  <dcterms:created xsi:type="dcterms:W3CDTF">2017-11-15T10:44:05Z</dcterms:created>
  <dcterms:modified xsi:type="dcterms:W3CDTF">2018-11-06T01:55:45Z</dcterms:modified>
</cp:coreProperties>
</file>